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<sst xmlns="http://schemas.openxmlformats.org/spreadsheetml/2006/main" count="2238" uniqueCount="299">
  <si>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</si>
  <si>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</si>
  <si>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</si>
  <si>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</si>
  <si>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</si>
  <si>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</si>
  <si>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</si>
  <si>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</si>
  <si>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</si>
  <si>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</si>
  <si>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</si>
  <si>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</si>
  <si>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</si>
  <si>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</si>
  <si>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</si>
  <si>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</si>
  <si>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</si>
  <si>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</si>
  <si>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</si>
  <si>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</si>
  <si>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</si>
  <si>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</si>
  <si>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</si>
  <si>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</si>
  <si>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</si>
  <si>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</si>
  <si>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</si>
  <si>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</si>
  <si>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</si>
  <si>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</si>
  <si>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</si>
  <si>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</si>
  <si>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</si>
  <si>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</si>
  <si>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</si>
  <si>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</si>
  <si>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</si>
  <si>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</si>
  <si>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</si>
  <si>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</si>
  <si>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</si>
  <si>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</si>
  <si>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</si>
  <si>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</si>
  <si>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</si>
  <si>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</si>
  <si>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</si>
  <si>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</si>
  <si>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</si>
  <si>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</si>
  <si>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</si>
  <si>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</si>
  <si>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</si>
  <si>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</si>
  <si>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</si>
  <si>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</si>
  <si>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</si>
  <si>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</si>
  <si>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</si>
  <si>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</si>
  <si>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</si>
  <si>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</si>
  <si>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</si>
  <si>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</si>
  <si>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</si>
  <si>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</si>
  <si>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</si>
  <si>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</si>
  <si>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</si>
  <si>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</si>
  <si>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</si>
  <si>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</si>
  <si>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</si>
  <si>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</si>
  <si>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</si>
  <si>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</si>
  <si>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</si>
  <si>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</si>
  <si>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</si>
  <si>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</si>
  <si>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</si>
  <si>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</si>
  <si>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</si>
  <si>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</si>
  <si>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</si>
  <si>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</si>
  <si>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</si>
  <si>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</si>
  <si>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</si>
  <si>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</si>
  <si>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</si>
  <si>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</si>
  <si>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</si>
  <si>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</si>
  <si>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</si>
  <si>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</si>
  <si>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</si>
  <si>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</si>
  <si>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</si>
  <si>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</si>
  <si>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</si>
  <si>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</si>
  <si>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</si>
  <si>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</si>
  <si>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</si>
  <si>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</si>
  <si>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</si>
  <si>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</si>
  <si>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</si>
  <si>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</si>
  <si>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</si>
  <si>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</si>
  <si>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</si>
  <si>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</si>
  <si>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</si>
  <si>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</si>
  <si>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</si>
  <si>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</si>
  <si>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</si>
  <si>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</si>
  <si>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</si>
  <si>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</si>
  <si>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</si>
  <si>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</si>
  <si>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</si>
  <si>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</si>
  <si>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</si>
  <si>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</si>
  <si>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</si>
  <si>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</si>
  <si>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</si>
  <si>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</si>
  <si>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</si>
  <si>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</si>
  <si>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</si>
  <si>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</si>
  <si>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</si>
  <si>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</si>
  <si>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</si>
  <si>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</si>
  <si>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</si>
  <si>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</si>
  <si>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</si>
  <si>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</si>
  <si>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</si>
  <si>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</si>
  <si>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</si>
  <si>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</si>
  <si>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</si>
  <si>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</si>
  <si>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</si>
  <si>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</si>
  <si>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</si>
  <si>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</si>
  <si>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</si>
  <si>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</si>
  <si>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</si>
  <si>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</si>
  <si>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</si>
  <si>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</si>
  <si>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</si>
  <si>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</si>
  <si>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</si>
  <si>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</si>
  <si>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</si>
  <si>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</si>
  <si>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</si>
  <si>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</si>
  <si>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</si>
  <si>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</si>
  <si>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</si>
  <si>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</si>
  <si>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</si>
  <si>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</si>
  <si>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</si>
  <si>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</si>
  <si>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</si>
  <si>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</si>
  <si>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</si>
  <si>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</si>
  <si>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</si>
  <si>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</si>
  <si>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</si>
  <si>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</si>
  <si>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</si>
  <si>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</si>
  <si>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</si>
  <si>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</si>
  <si>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</si>
  <si>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</si>
  <si>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</si>
  <si>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</si>
  <si>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</si>
  <si>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</si>
  <si>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</si>
  <si>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</si>
  <si>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</si>
  <si>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</si>
  <si>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</si>
  <si>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</si>
  <si>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</si>
  <si>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</si>
  <si>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</si>
  <si>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</si>
  <si>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</si>
  <si>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</si>
  <si>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</si>
  <si>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</si>
  <si>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</si>
  <si>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</si>
  <si>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</si>
  <si>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</si>
  <si>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</si>
  <si>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</si>
  <si>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</si>
  <si>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</si>
  <si>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</si>
  <si>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</si>
  <si>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</si>
  <si>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</si>
  <si>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</si>
  <si>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</si>
  <si>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</si>
  <si>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</si>
  <si>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</si>
  <si>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</si>
  <si>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</si>
  <si>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</si>
  <si>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</si>
  <si>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</si>
  <si>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</si>
  <si>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</si>
  <si>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</si>
  <si>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</si>
  <si>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</si>
  <si>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</si>
  <si>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</si>
  <si>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</si>
  <si>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</si>
  <si>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</si>
  <si>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</si>
  <si>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</si>
  <si>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</si>
  <si>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</si>
  <si>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</si>
  <si>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</si>
  <si>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</si>
  <si>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</si>
  <si>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</si>
  <si>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</si>
  <si>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</si>
  <si>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</si>
  <si>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</si>
  <si>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</si>
  <si>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</si>
  <si>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</si>
  <si>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</si>
  <si>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</si>
  <si>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</si>
  <si>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</si>
  <si>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</si>
  <si>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</si>
  <si>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</si>
  <si>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</si>
  <si>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</si>
  <si>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</si>
  <si>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</si>
  <si>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</si>
  <si>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</si>
  <si>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</si>
  <si>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</si>
  <si>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</si>
  <si>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</si>
  <si>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</si>
  <si>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</si>
  <si>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</si>
  <si>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</si>
  <si>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</si>
  <si>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</si>
  <si>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</si>
  <si>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</si>
  <si>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</si>
  <si>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</si>
  <si>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</si>
  <si>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</si>
  <si>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</si>
  <si>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</si>
  <si>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</si>
  <si>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</si>
  <si>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</si>
  <si>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</si>
  <si>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</si>
  <si>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</si>
  <si>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</si>
  <si>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</si>
  <si>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</si>
  <si>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</si>
  <si>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</si>
  <si>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12.11.14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</si>
</sst>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21388104.11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53" sqref="H15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280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401527.18</v>
      </c>
      <c r="G8" s="22">
        <f aca="true" t="shared" si="0" ref="G8:G30">F8-E8</f>
        <v>-29730.849999999977</v>
      </c>
      <c r="H8" s="51">
        <f>F8/E8*100</f>
        <v>93.1060182230114</v>
      </c>
      <c r="I8" s="36">
        <f aca="true" t="shared" si="1" ref="I8:I17">F8-D8</f>
        <v>-86949.12</v>
      </c>
      <c r="J8" s="36">
        <f aca="true" t="shared" si="2" ref="J8:J14">F8/D8*100</f>
        <v>82.19993068240977</v>
      </c>
      <c r="K8" s="36">
        <f>F8-421084.1</f>
        <v>-19556.919999999984</v>
      </c>
      <c r="L8" s="136">
        <f>F8/421084.1</f>
        <v>0.9535557861244346</v>
      </c>
      <c r="M8" s="22">
        <f>M10+M19+M33+M56+M68+M30</f>
        <v>40254.39000000002</v>
      </c>
      <c r="N8" s="22">
        <f>N10+N19+N33+N56+N68+N30</f>
        <v>12767.929999999993</v>
      </c>
      <c r="O8" s="36">
        <f aca="true" t="shared" si="3" ref="O8:O71">N8-M8</f>
        <v>-27486.46000000003</v>
      </c>
      <c r="P8" s="36">
        <f>F8/M8*100</f>
        <v>997.4742630555321</v>
      </c>
      <c r="Q8" s="36">
        <f>N8-39535.7</f>
        <v>-26767.770000000004</v>
      </c>
      <c r="R8" s="134">
        <f>N8/39535.7</f>
        <v>0.3229468556266866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327913.43</v>
      </c>
      <c r="G9" s="22">
        <f t="shared" si="0"/>
        <v>327913.43</v>
      </c>
      <c r="H9" s="20"/>
      <c r="I9" s="56">
        <f t="shared" si="1"/>
        <v>-59099.77000000002</v>
      </c>
      <c r="J9" s="56">
        <f t="shared" si="2"/>
        <v>84.72926246443274</v>
      </c>
      <c r="K9" s="56"/>
      <c r="L9" s="135"/>
      <c r="M9" s="20">
        <f>M10+M17</f>
        <v>32301.900000000023</v>
      </c>
      <c r="N9" s="20">
        <f>N10+N17</f>
        <v>11891.23999999999</v>
      </c>
      <c r="O9" s="36">
        <f t="shared" si="3"/>
        <v>-20410.660000000033</v>
      </c>
      <c r="P9" s="56">
        <f>F9/M9*100</f>
        <v>1015.1521427532119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327913.43</v>
      </c>
      <c r="G10" s="49">
        <f t="shared" si="0"/>
        <v>-24094.570000000007</v>
      </c>
      <c r="H10" s="40">
        <f aca="true" t="shared" si="4" ref="H10:H17">F10/E10*100</f>
        <v>93.1551072702893</v>
      </c>
      <c r="I10" s="56">
        <f t="shared" si="1"/>
        <v>-59099.77000000002</v>
      </c>
      <c r="J10" s="56">
        <f t="shared" si="2"/>
        <v>84.72926246443274</v>
      </c>
      <c r="K10" s="141">
        <f>F10-334336.4</f>
        <v>-6422.97000000003</v>
      </c>
      <c r="L10" s="142">
        <f>F10/334336.4</f>
        <v>0.9807889000419936</v>
      </c>
      <c r="M10" s="40">
        <f>E10-жовтень!E10</f>
        <v>32301.900000000023</v>
      </c>
      <c r="N10" s="40">
        <f>F10-жовтень!F10</f>
        <v>11891.23999999999</v>
      </c>
      <c r="O10" s="53">
        <f t="shared" si="3"/>
        <v>-20410.660000000033</v>
      </c>
      <c r="P10" s="56">
        <f aca="true" t="shared" si="5" ref="P10:P17">N10/M10*100</f>
        <v>36.812819060179066</v>
      </c>
      <c r="Q10" s="141">
        <f>N10-32243.9</f>
        <v>-20352.66000000001</v>
      </c>
      <c r="R10" s="142">
        <f>N10/32243.9</f>
        <v>0.3687903758540372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-879.09</v>
      </c>
      <c r="G19" s="49">
        <f t="shared" si="0"/>
        <v>-1958.69</v>
      </c>
      <c r="H19" s="40">
        <f aca="true" t="shared" si="6" ref="H19:H29">F19/E19*100</f>
        <v>-81.4273805113005</v>
      </c>
      <c r="I19" s="56">
        <f aca="true" t="shared" si="7" ref="I19:I29">F19-D19</f>
        <v>-1879.0900000000001</v>
      </c>
      <c r="J19" s="56">
        <f aca="true" t="shared" si="8" ref="J19:J29">F19/D19*100</f>
        <v>-87.909</v>
      </c>
      <c r="K19" s="167">
        <f>F19-7207</f>
        <v>-8086.09</v>
      </c>
      <c r="L19" s="168">
        <f>F19/7207</f>
        <v>-0.12197724434577495</v>
      </c>
      <c r="M19" s="40">
        <f>E19-жовтень!E19</f>
        <v>12</v>
      </c>
      <c r="N19" s="40">
        <f>F19-жовтень!F19</f>
        <v>1.7999999999999545</v>
      </c>
      <c r="O19" s="53">
        <f t="shared" si="3"/>
        <v>-10.200000000000045</v>
      </c>
      <c r="P19" s="56">
        <f aca="true" t="shared" si="9" ref="P19:P29">N19/M19*100</f>
        <v>14.999999999999622</v>
      </c>
      <c r="Q19" s="56">
        <f>N19-363.4</f>
        <v>-361.6</v>
      </c>
      <c r="R19" s="135">
        <f>N19/363.4</f>
        <v>0.0049532195927351535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68843.5</v>
      </c>
      <c r="G33" s="49">
        <f aca="true" t="shared" si="14" ref="G33:G72">F33-E33</f>
        <v>-3069.929999999993</v>
      </c>
      <c r="H33" s="40">
        <f aca="true" t="shared" si="15" ref="H33:H67">F33/E33*100</f>
        <v>95.73107554458188</v>
      </c>
      <c r="I33" s="56">
        <f>F33-D33</f>
        <v>-24722.5</v>
      </c>
      <c r="J33" s="56">
        <f aca="true" t="shared" si="16" ref="J33:J72">F33/D33*100</f>
        <v>73.57747472372444</v>
      </c>
      <c r="K33" s="141">
        <f>F33-73845.7</f>
        <v>-5002.199999999997</v>
      </c>
      <c r="L33" s="142">
        <f>F33/73845.7</f>
        <v>0.9322614586902149</v>
      </c>
      <c r="M33" s="40">
        <f>E33-жовтень!E33</f>
        <v>7377.5899999999965</v>
      </c>
      <c r="N33" s="40">
        <f>F33-жовтень!F33</f>
        <v>576.6600000000035</v>
      </c>
      <c r="O33" s="53">
        <f t="shared" si="3"/>
        <v>-6800.929999999993</v>
      </c>
      <c r="P33" s="56">
        <f aca="true" t="shared" si="17" ref="P33:P67">N33/M33*100</f>
        <v>7.816373639630337</v>
      </c>
      <c r="Q33" s="141">
        <f>N33-6429.9</f>
        <v>-5853.239999999996</v>
      </c>
      <c r="R33" s="142">
        <f>N33/6429.9</f>
        <v>0.08968413194606503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51293.4</v>
      </c>
      <c r="G55" s="144">
        <f t="shared" si="14"/>
        <v>-1555.1299999999974</v>
      </c>
      <c r="H55" s="146">
        <f t="shared" si="15"/>
        <v>97.05738267459853</v>
      </c>
      <c r="I55" s="145">
        <f t="shared" si="18"/>
        <v>-18972.6</v>
      </c>
      <c r="J55" s="145">
        <f t="shared" si="16"/>
        <v>72.99888993254206</v>
      </c>
      <c r="K55" s="148">
        <f>F55-53912.95</f>
        <v>-2619.5499999999956</v>
      </c>
      <c r="L55" s="149">
        <f>F55/53912.95</f>
        <v>0.9514114883344355</v>
      </c>
      <c r="M55" s="40">
        <f>E55-жовтень!E55</f>
        <v>5442.989999999998</v>
      </c>
      <c r="N55" s="40">
        <f>F55-жовтень!F55</f>
        <v>588.75</v>
      </c>
      <c r="O55" s="148">
        <f t="shared" si="3"/>
        <v>-4854.239999999998</v>
      </c>
      <c r="P55" s="148">
        <f t="shared" si="17"/>
        <v>10.816665105025</v>
      </c>
      <c r="Q55" s="160">
        <f>N55-4756.32</f>
        <v>-4167.57</v>
      </c>
      <c r="R55" s="161">
        <f>N55/4756.32</f>
        <v>0.12378267231809467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1.51+5614.63</f>
        <v>5616.14</v>
      </c>
      <c r="G56" s="49">
        <f t="shared" si="14"/>
        <v>-603.7599999999993</v>
      </c>
      <c r="H56" s="40">
        <f t="shared" si="15"/>
        <v>90.29309152880273</v>
      </c>
      <c r="I56" s="56">
        <f t="shared" si="18"/>
        <v>-1243.8599999999997</v>
      </c>
      <c r="J56" s="56">
        <f t="shared" si="16"/>
        <v>81.86793002915452</v>
      </c>
      <c r="K56" s="56">
        <f>F56-6560</f>
        <v>-943.8599999999997</v>
      </c>
      <c r="L56" s="135">
        <f>F56/6560</f>
        <v>0.8561189024390244</v>
      </c>
      <c r="M56" s="40">
        <f>E56-жовтень!E56</f>
        <v>553.3999999999996</v>
      </c>
      <c r="N56" s="40">
        <f>F56-жовтень!F56</f>
        <v>270.1800000000003</v>
      </c>
      <c r="O56" s="53">
        <f t="shared" si="3"/>
        <v>-283.21999999999935</v>
      </c>
      <c r="P56" s="56">
        <f t="shared" si="17"/>
        <v>48.82182869533799</v>
      </c>
      <c r="Q56" s="56">
        <f>N56-486.5</f>
        <v>-216.3199999999997</v>
      </c>
      <c r="R56" s="135">
        <f>N56/486.5</f>
        <v>0.5553545734840705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11757.16</v>
      </c>
      <c r="G74" s="50">
        <f aca="true" t="shared" si="24" ref="G74:G92">F74-E74</f>
        <v>-3519.84</v>
      </c>
      <c r="H74" s="51">
        <f aca="true" t="shared" si="25" ref="H74:H87">F74/E74*100</f>
        <v>76.95987432087452</v>
      </c>
      <c r="I74" s="36">
        <f aca="true" t="shared" si="26" ref="I74:I92">F74-D74</f>
        <v>-6601.139999999999</v>
      </c>
      <c r="J74" s="36">
        <f aca="true" t="shared" si="27" ref="J74:J92">F74/D74*100</f>
        <v>64.04274905628516</v>
      </c>
      <c r="K74" s="36">
        <f>F74-17827.8</f>
        <v>-6070.639999999999</v>
      </c>
      <c r="L74" s="136">
        <f>F74/17827.8</f>
        <v>0.6594846251360236</v>
      </c>
      <c r="M74" s="22">
        <f>M77+M86+M88+M89+M94+M95+M96+M97+M99+M87+M104</f>
        <v>1580.5</v>
      </c>
      <c r="N74" s="22">
        <f>N77+N86+N88+N89+N94+N95+N96+N97+N99+N32+N104+N87+N103</f>
        <v>968.2500000000005</v>
      </c>
      <c r="O74" s="55">
        <f aca="true" t="shared" si="28" ref="O74:O92">N74-M74</f>
        <v>-612.2499999999995</v>
      </c>
      <c r="P74" s="36">
        <f>N74/M74*100</f>
        <v>61.262258778867476</v>
      </c>
      <c r="Q74" s="36">
        <f>N74-1502.5</f>
        <v>-534.2499999999995</v>
      </c>
      <c r="R74" s="136">
        <f>N74/1502.5</f>
        <v>0.644425956738769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138.27</v>
      </c>
      <c r="G77" s="49">
        <f t="shared" si="24"/>
        <v>-21.72999999999999</v>
      </c>
      <c r="H77" s="40">
        <f t="shared" si="25"/>
        <v>86.41875000000002</v>
      </c>
      <c r="I77" s="56">
        <f t="shared" si="26"/>
        <v>-361.73</v>
      </c>
      <c r="J77" s="56">
        <f t="shared" si="27"/>
        <v>27.654</v>
      </c>
      <c r="K77" s="167">
        <f>F77-1728.8</f>
        <v>-1590.53</v>
      </c>
      <c r="L77" s="168">
        <f>F77/1728.8</f>
        <v>0.07998033317908376</v>
      </c>
      <c r="M77" s="40">
        <f>E77-жовтень!E77</f>
        <v>50</v>
      </c>
      <c r="N77" s="40">
        <f>F77-жовтень!F77</f>
        <v>14.820000000000007</v>
      </c>
      <c r="O77" s="53">
        <f t="shared" si="28"/>
        <v>-35.17999999999999</v>
      </c>
      <c r="P77" s="56">
        <f aca="true" t="shared" si="29" ref="P77:P87">N77/M77*100</f>
        <v>29.640000000000015</v>
      </c>
      <c r="Q77" s="56">
        <f>N77-11.1</f>
        <v>3.7200000000000077</v>
      </c>
      <c r="R77" s="135">
        <f>N77/11.1</f>
        <v>1.335135135135136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5.6</v>
      </c>
      <c r="G88" s="49">
        <f t="shared" si="24"/>
        <v>1.0999999999999996</v>
      </c>
      <c r="H88" s="40">
        <f>F88/E88*100</f>
        <v>124.44444444444444</v>
      </c>
      <c r="I88" s="56">
        <f t="shared" si="26"/>
        <v>0.5</v>
      </c>
      <c r="J88" s="56">
        <f t="shared" si="27"/>
        <v>109.80392156862746</v>
      </c>
      <c r="K88" s="56">
        <f>F88-4.9</f>
        <v>0.6999999999999993</v>
      </c>
      <c r="L88" s="135"/>
      <c r="M88" s="40">
        <f>E88-жовтень!E88</f>
        <v>0.5</v>
      </c>
      <c r="N88" s="40">
        <f>F88-жовтень!F88</f>
        <v>0</v>
      </c>
      <c r="O88" s="53">
        <f t="shared" si="28"/>
        <v>-0.5</v>
      </c>
      <c r="P88" s="56">
        <f>N88/M88*100</f>
        <v>0</v>
      </c>
      <c r="Q88" s="56">
        <f>N88-0.5</f>
        <v>-0.5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117.81</v>
      </c>
      <c r="G89" s="49">
        <f t="shared" si="24"/>
        <v>-41.19</v>
      </c>
      <c r="H89" s="40">
        <f>F89/E89*100</f>
        <v>74.09433962264151</v>
      </c>
      <c r="I89" s="56">
        <f t="shared" si="26"/>
        <v>-57.19</v>
      </c>
      <c r="J89" s="56">
        <f t="shared" si="27"/>
        <v>67.32000000000001</v>
      </c>
      <c r="K89" s="56">
        <f>F89-147.9</f>
        <v>-30.090000000000003</v>
      </c>
      <c r="L89" s="135">
        <f>F89/147.9</f>
        <v>0.7965517241379311</v>
      </c>
      <c r="M89" s="40">
        <f>E89-жовтень!E89</f>
        <v>15</v>
      </c>
      <c r="N89" s="40">
        <f>F89-жовтень!F89</f>
        <v>5.359999999999999</v>
      </c>
      <c r="O89" s="53">
        <f t="shared" si="28"/>
        <v>-9.64</v>
      </c>
      <c r="P89" s="56">
        <f>N89/M89*100</f>
        <v>35.73333333333333</v>
      </c>
      <c r="Q89" s="56">
        <f>N89-10.4</f>
        <v>-5.040000000000001</v>
      </c>
      <c r="R89" s="135">
        <f>N89/10.4</f>
        <v>0.5153846153846153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900.54</v>
      </c>
      <c r="G96" s="49">
        <f t="shared" si="31"/>
        <v>-113.96000000000004</v>
      </c>
      <c r="H96" s="40">
        <f>F96/E96*100</f>
        <v>88.76688023656973</v>
      </c>
      <c r="I96" s="56">
        <f t="shared" si="32"/>
        <v>-299.46000000000004</v>
      </c>
      <c r="J96" s="56">
        <f>F96/D96*100</f>
        <v>75.045</v>
      </c>
      <c r="K96" s="56">
        <f>F96-1013.8</f>
        <v>-113.25999999999999</v>
      </c>
      <c r="L96" s="135">
        <f>F96/1013.8</f>
        <v>0.8882817123693036</v>
      </c>
      <c r="M96" s="40">
        <f>E96-жовтень!E96</f>
        <v>110</v>
      </c>
      <c r="N96" s="40">
        <f>F96-жовтень!F96</f>
        <v>35.370000000000005</v>
      </c>
      <c r="O96" s="53">
        <f t="shared" si="33"/>
        <v>-74.63</v>
      </c>
      <c r="P96" s="56">
        <f>N96/M96*100</f>
        <v>32.154545454545456</v>
      </c>
      <c r="Q96" s="56">
        <f>N96-83.7</f>
        <v>-48.33</v>
      </c>
      <c r="R96" s="135">
        <f>N96/83.7</f>
        <v>0.42258064516129035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3720.62</v>
      </c>
      <c r="G99" s="49">
        <f t="shared" si="31"/>
        <v>53.61999999999989</v>
      </c>
      <c r="H99" s="40">
        <f>F99/E99*100</f>
        <v>101.46223070629942</v>
      </c>
      <c r="I99" s="56">
        <f t="shared" si="32"/>
        <v>-852.0799999999999</v>
      </c>
      <c r="J99" s="56">
        <f>F99/D99*100</f>
        <v>81.36593259999563</v>
      </c>
      <c r="K99" s="56">
        <f>F99-4178.8</f>
        <v>-458.1800000000003</v>
      </c>
      <c r="L99" s="135">
        <f>F99/4178.8</f>
        <v>0.8903560830860533</v>
      </c>
      <c r="M99" s="40">
        <f>E99-жовтень!E99</f>
        <v>330</v>
      </c>
      <c r="N99" s="40">
        <f>F99-жовтень!F99</f>
        <v>273.67999999999984</v>
      </c>
      <c r="O99" s="53">
        <f t="shared" si="33"/>
        <v>-56.320000000000164</v>
      </c>
      <c r="P99" s="56">
        <f>N99/M99*100</f>
        <v>82.93333333333328</v>
      </c>
      <c r="Q99" s="56">
        <f>N99-332.8</f>
        <v>-59.120000000000175</v>
      </c>
      <c r="R99" s="135">
        <f>N99/332.8</f>
        <v>0.8223557692307687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896.2</v>
      </c>
      <c r="G102" s="144"/>
      <c r="H102" s="146"/>
      <c r="I102" s="145"/>
      <c r="J102" s="145"/>
      <c r="K102" s="148">
        <f>F102-738.2</f>
        <v>158</v>
      </c>
      <c r="L102" s="149">
        <f>F102/738.2</f>
        <v>1.2140341370902195</v>
      </c>
      <c r="M102" s="40">
        <f>E102-жовтень!E102</f>
        <v>0</v>
      </c>
      <c r="N102" s="40">
        <f>F102-жовтень!F102</f>
        <v>56.90000000000009</v>
      </c>
      <c r="O102" s="53"/>
      <c r="P102" s="60"/>
      <c r="Q102" s="60">
        <f>N102-89.7</f>
        <v>-32.79999999999991</v>
      </c>
      <c r="R102" s="138">
        <f>N102/89.7</f>
        <v>0.6343366778149396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-43.54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21.96</v>
      </c>
      <c r="G105" s="49">
        <f>F105-E105</f>
        <v>-8.239999999999998</v>
      </c>
      <c r="H105" s="40">
        <f>F105/E105*100</f>
        <v>72.71523178807946</v>
      </c>
      <c r="I105" s="56">
        <f t="shared" si="34"/>
        <v>-23.04</v>
      </c>
      <c r="J105" s="56">
        <f aca="true" t="shared" si="36" ref="J105:J110">F105/D105*100</f>
        <v>48.800000000000004</v>
      </c>
      <c r="K105" s="56">
        <f>F105-35.8</f>
        <v>-13.839999999999996</v>
      </c>
      <c r="L105" s="135">
        <f>F105/35.8</f>
        <v>0.6134078212290504</v>
      </c>
      <c r="M105" s="40">
        <f>E105-жовтень!E105</f>
        <v>3</v>
      </c>
      <c r="N105" s="40">
        <f>F105-жовтень!F105</f>
        <v>0.25</v>
      </c>
      <c r="O105" s="53">
        <f t="shared" si="35"/>
        <v>-2.75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413306.67</v>
      </c>
      <c r="G107" s="175">
        <f>F107-E107</f>
        <v>-33258.56</v>
      </c>
      <c r="H107" s="51">
        <f>F107/E107*100</f>
        <v>92.55236239507497</v>
      </c>
      <c r="I107" s="36">
        <f t="shared" si="34"/>
        <v>-93572.93</v>
      </c>
      <c r="J107" s="36">
        <f t="shared" si="36"/>
        <v>81.53941685560042</v>
      </c>
      <c r="K107" s="36">
        <f>F107-438950.2</f>
        <v>-25643.530000000028</v>
      </c>
      <c r="L107" s="136">
        <f>F107/438950.2</f>
        <v>0.9415798648684975</v>
      </c>
      <c r="M107" s="22">
        <f>M8+M74+M105+M106</f>
        <v>41837.89000000002</v>
      </c>
      <c r="N107" s="22">
        <f>N8+N74+N105+N106</f>
        <v>13736.429999999993</v>
      </c>
      <c r="O107" s="55">
        <f t="shared" si="35"/>
        <v>-28101.46000000003</v>
      </c>
      <c r="P107" s="36">
        <f>N107/M107*100</f>
        <v>32.83251139099029</v>
      </c>
      <c r="Q107" s="36">
        <f>N107-41056.6</f>
        <v>-27320.170000000006</v>
      </c>
      <c r="R107" s="136">
        <f>N107/41056.6</f>
        <v>0.3345730040967833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328813.97</v>
      </c>
      <c r="G108" s="153">
        <f>G10-G18+G96</f>
        <v>-24208.530000000006</v>
      </c>
      <c r="H108" s="72">
        <f>F108/E108*100</f>
        <v>93.14249658307897</v>
      </c>
      <c r="I108" s="52">
        <f t="shared" si="34"/>
        <v>-59399.23000000004</v>
      </c>
      <c r="J108" s="52">
        <f t="shared" si="36"/>
        <v>84.69932758597595</v>
      </c>
      <c r="K108" s="52">
        <f>F108-335439.2</f>
        <v>-6625.23000000004</v>
      </c>
      <c r="L108" s="137">
        <f>F108/335439.2</f>
        <v>0.9802490883593806</v>
      </c>
      <c r="M108" s="71">
        <f>M10-M18+M96</f>
        <v>32411.900000000023</v>
      </c>
      <c r="N108" s="71">
        <f>N10-N18+N96</f>
        <v>11926.609999999991</v>
      </c>
      <c r="O108" s="53">
        <f t="shared" si="35"/>
        <v>-20485.29000000003</v>
      </c>
      <c r="P108" s="52">
        <f>N108/M108*100</f>
        <v>36.79700974024967</v>
      </c>
      <c r="Q108" s="52">
        <f>N108-32327.7</f>
        <v>-20401.09000000001</v>
      </c>
      <c r="R108" s="137">
        <f>N108/32327.7</f>
        <v>0.36892850403833216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84492.70000000001</v>
      </c>
      <c r="G109" s="176">
        <f>F109-E109</f>
        <v>-9050.02999999997</v>
      </c>
      <c r="H109" s="72">
        <f>F109/E109*100</f>
        <v>90.32524494420895</v>
      </c>
      <c r="I109" s="52">
        <f t="shared" si="34"/>
        <v>-34173.69999999995</v>
      </c>
      <c r="J109" s="52">
        <f t="shared" si="36"/>
        <v>71.20187348735618</v>
      </c>
      <c r="K109" s="52">
        <f>F109-103511.1</f>
        <v>-19018.399999999994</v>
      </c>
      <c r="L109" s="137">
        <f>F109/103511.1</f>
        <v>0.8162670476886055</v>
      </c>
      <c r="M109" s="71">
        <f>M107-M108</f>
        <v>9425.989999999998</v>
      </c>
      <c r="N109" s="71">
        <f>N107-N108</f>
        <v>1809.8200000000015</v>
      </c>
      <c r="O109" s="53">
        <f t="shared" si="35"/>
        <v>-7616.169999999996</v>
      </c>
      <c r="P109" s="52">
        <f>N109/M109*100</f>
        <v>19.20031742023917</v>
      </c>
      <c r="Q109" s="52">
        <f>N109-8729</f>
        <v>-6919.1799999999985</v>
      </c>
      <c r="R109" s="137">
        <f>N109/8729</f>
        <v>0.2073341734448392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328813.97</v>
      </c>
      <c r="G110" s="111">
        <f>F110-E110</f>
        <v>-19868.630000000005</v>
      </c>
      <c r="H110" s="72">
        <f>F110/E110*100</f>
        <v>94.30180054869385</v>
      </c>
      <c r="I110" s="81">
        <f t="shared" si="34"/>
        <v>-59399.23000000004</v>
      </c>
      <c r="J110" s="52">
        <f t="shared" si="36"/>
        <v>84.69932758597595</v>
      </c>
      <c r="K110" s="52"/>
      <c r="L110" s="137"/>
      <c r="M110" s="72">
        <f>E110-жовтень!E110</f>
        <v>33441.899999999965</v>
      </c>
      <c r="N110" s="71">
        <f>N108</f>
        <v>11926.609999999991</v>
      </c>
      <c r="O110" s="63">
        <f t="shared" si="35"/>
        <v>-21515.28999999997</v>
      </c>
      <c r="P110" s="52">
        <f>N110/M110*100</f>
        <v>35.663673415685125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1380.87</v>
      </c>
      <c r="G115" s="49">
        <f t="shared" si="37"/>
        <v>-1953.5300000000002</v>
      </c>
      <c r="H115" s="40">
        <f aca="true" t="shared" si="39" ref="H115:H126">F115/E115*100</f>
        <v>41.41284788867562</v>
      </c>
      <c r="I115" s="60">
        <f t="shared" si="38"/>
        <v>-2290.63</v>
      </c>
      <c r="J115" s="60">
        <f aca="true" t="shared" si="40" ref="J115:J121">F115/D115*100</f>
        <v>37.61051341413591</v>
      </c>
      <c r="K115" s="60">
        <f>F115-3211.4</f>
        <v>-1830.5300000000002</v>
      </c>
      <c r="L115" s="138">
        <f>F115/3211.4</f>
        <v>0.4299900354985364</v>
      </c>
      <c r="M115" s="40">
        <f>E115-жовтень!E115</f>
        <v>327.4000000000001</v>
      </c>
      <c r="N115" s="40">
        <f>F115-жовтень!F115</f>
        <v>62.319999999999936</v>
      </c>
      <c r="O115" s="53">
        <f aca="true" t="shared" si="41" ref="O115:O126">N115-M115</f>
        <v>-265.08000000000015</v>
      </c>
      <c r="P115" s="60">
        <f>N115/M115*100</f>
        <v>19.03481979230297</v>
      </c>
      <c r="Q115" s="60">
        <f>N115-83.3</f>
        <v>-20.98000000000006</v>
      </c>
      <c r="R115" s="138">
        <f>N115/83.3</f>
        <v>0.7481392557022801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277.99</v>
      </c>
      <c r="G116" s="49">
        <f t="shared" si="37"/>
        <v>33.49000000000001</v>
      </c>
      <c r="H116" s="40">
        <f t="shared" si="39"/>
        <v>113.69734151329243</v>
      </c>
      <c r="I116" s="60">
        <f t="shared" si="38"/>
        <v>9.889999999999986</v>
      </c>
      <c r="J116" s="60">
        <f t="shared" si="40"/>
        <v>103.68892204401344</v>
      </c>
      <c r="K116" s="60">
        <f>F116-245.6</f>
        <v>32.390000000000015</v>
      </c>
      <c r="L116" s="138">
        <f>F116/245.6</f>
        <v>1.1318811074918567</v>
      </c>
      <c r="M116" s="40">
        <f>E116-жовтень!E116</f>
        <v>22</v>
      </c>
      <c r="N116" s="40">
        <f>F116-жовтень!F116</f>
        <v>14.740000000000009</v>
      </c>
      <c r="O116" s="53">
        <f t="shared" si="41"/>
        <v>-7.259999999999991</v>
      </c>
      <c r="P116" s="60">
        <f>N116/M116*100</f>
        <v>67.00000000000004</v>
      </c>
      <c r="Q116" s="60">
        <f>N116-24.1</f>
        <v>-9.359999999999992</v>
      </c>
      <c r="R116" s="138">
        <f>N116/24.1</f>
        <v>0.6116182572614112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1658.82</v>
      </c>
      <c r="G117" s="62">
        <f t="shared" si="37"/>
        <v>-1920.0800000000002</v>
      </c>
      <c r="H117" s="72">
        <f t="shared" si="39"/>
        <v>46.34999580876805</v>
      </c>
      <c r="I117" s="61">
        <f t="shared" si="38"/>
        <v>-2280.7799999999997</v>
      </c>
      <c r="J117" s="61">
        <f t="shared" si="40"/>
        <v>42.106305208650625</v>
      </c>
      <c r="K117" s="61">
        <f>F117-3477.6</f>
        <v>-1818.78</v>
      </c>
      <c r="L117" s="139">
        <f>F117/3477.6</f>
        <v>0.4770013802622498</v>
      </c>
      <c r="M117" s="62">
        <f>M115+M116+M114</f>
        <v>349.4000000000001</v>
      </c>
      <c r="N117" s="38">
        <f>SUM(N114:N116)</f>
        <v>77.05999999999995</v>
      </c>
      <c r="O117" s="61">
        <f t="shared" si="41"/>
        <v>-272.34000000000015</v>
      </c>
      <c r="P117" s="61">
        <f>N117/M117*100</f>
        <v>22.054951345163115</v>
      </c>
      <c r="Q117" s="61">
        <f>N117-106.6</f>
        <v>-29.54000000000005</v>
      </c>
      <c r="R117" s="139">
        <f>N117/106.6</f>
        <v>0.7228893058161346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440.11</v>
      </c>
      <c r="G119" s="49">
        <f t="shared" si="37"/>
        <v>179.61</v>
      </c>
      <c r="H119" s="40">
        <f t="shared" si="39"/>
        <v>168.94817658349328</v>
      </c>
      <c r="I119" s="60">
        <f t="shared" si="38"/>
        <v>172.91000000000003</v>
      </c>
      <c r="J119" s="60">
        <f t="shared" si="40"/>
        <v>164.71182634730542</v>
      </c>
      <c r="K119" s="60">
        <f>F119-237.7</f>
        <v>202.41000000000003</v>
      </c>
      <c r="L119" s="138">
        <f>F119/237.7</f>
        <v>1.851535549011359</v>
      </c>
      <c r="M119" s="40">
        <f>E119-жовтень!E119</f>
        <v>0</v>
      </c>
      <c r="N119" s="40">
        <f>F119-жовтень!F119</f>
        <v>3.1100000000000136</v>
      </c>
      <c r="O119" s="53">
        <f>N119-M119</f>
        <v>3.1100000000000136</v>
      </c>
      <c r="P119" s="60" t="e">
        <f>N119/M119*100</f>
        <v>#DIV/0!</v>
      </c>
      <c r="Q119" s="60">
        <f>N119-3.5</f>
        <v>-0.38999999999998636</v>
      </c>
      <c r="R119" s="138">
        <f>N119/3.5</f>
        <v>0.8885714285714325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73737.07</v>
      </c>
      <c r="G120" s="49">
        <f t="shared" si="37"/>
        <v>5024.470000000001</v>
      </c>
      <c r="H120" s="40">
        <f t="shared" si="39"/>
        <v>107.31229789005219</v>
      </c>
      <c r="I120" s="53">
        <f t="shared" si="38"/>
        <v>1761.0800000000017</v>
      </c>
      <c r="J120" s="60">
        <f t="shared" si="40"/>
        <v>102.44676037106264</v>
      </c>
      <c r="K120" s="60">
        <f>F120-66794.9</f>
        <v>6942.170000000013</v>
      </c>
      <c r="L120" s="138">
        <f>F120/66794.9</f>
        <v>1.1039326355754708</v>
      </c>
      <c r="M120" s="40">
        <f>E120-жовтень!E120</f>
        <v>8700.000000000007</v>
      </c>
      <c r="N120" s="40">
        <f>F120-жовтень!F120</f>
        <v>5879.790000000008</v>
      </c>
      <c r="O120" s="53">
        <f t="shared" si="41"/>
        <v>-2820.209999999999</v>
      </c>
      <c r="P120" s="60">
        <f aca="true" t="shared" si="42" ref="P120:P125">N120/M120*100</f>
        <v>67.58379310344831</v>
      </c>
      <c r="Q120" s="60">
        <f>N120-8604.8</f>
        <v>-2725.009999999991</v>
      </c>
      <c r="R120" s="138">
        <f>N120/8604.8</f>
        <v>0.6833151264410572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1754.8</v>
      </c>
      <c r="G121" s="49">
        <f t="shared" si="37"/>
        <v>-1606.39</v>
      </c>
      <c r="H121" s="40">
        <f t="shared" si="39"/>
        <v>52.20770024901895</v>
      </c>
      <c r="I121" s="60">
        <f t="shared" si="38"/>
        <v>-2995.2</v>
      </c>
      <c r="J121" s="60">
        <f t="shared" si="40"/>
        <v>36.94315789473684</v>
      </c>
      <c r="K121" s="60">
        <f>F121-1790.1</f>
        <v>-35.299999999999955</v>
      </c>
      <c r="L121" s="138">
        <f>F121/1790.1</f>
        <v>0.9802804312608234</v>
      </c>
      <c r="M121" s="40">
        <f>E121-жовтень!E121</f>
        <v>161.78999999999996</v>
      </c>
      <c r="N121" s="40">
        <f>F121-жовтень!F121</f>
        <v>0.009999999999990905</v>
      </c>
      <c r="O121" s="53">
        <f t="shared" si="41"/>
        <v>-161.77999999999997</v>
      </c>
      <c r="P121" s="60">
        <f t="shared" si="42"/>
        <v>0.0061808517213615835</v>
      </c>
      <c r="Q121" s="60">
        <f>N121-500.5</f>
        <v>-500.49</v>
      </c>
      <c r="R121" s="138">
        <f>N121/500.5</f>
        <v>1.998001998000181E-05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3287.72</v>
      </c>
      <c r="G122" s="49">
        <f t="shared" si="37"/>
        <v>-17022.01</v>
      </c>
      <c r="H122" s="40">
        <f t="shared" si="39"/>
        <v>16.187905993826604</v>
      </c>
      <c r="I122" s="60">
        <f t="shared" si="38"/>
        <v>-19789.41</v>
      </c>
      <c r="J122" s="60">
        <f>F122/D122*100</f>
        <v>14.246658921625002</v>
      </c>
      <c r="K122" s="60">
        <f>F122-23492</f>
        <v>-20204.28</v>
      </c>
      <c r="L122" s="138">
        <f>F122/23492</f>
        <v>0.13995062148816617</v>
      </c>
      <c r="M122" s="40">
        <f>E122-жовтень!E122</f>
        <v>2733.5</v>
      </c>
      <c r="N122" s="40">
        <f>F122-жовтень!F122</f>
        <v>525.6199999999999</v>
      </c>
      <c r="O122" s="53">
        <f t="shared" si="41"/>
        <v>-2207.88</v>
      </c>
      <c r="P122" s="60">
        <f t="shared" si="42"/>
        <v>19.22882751051765</v>
      </c>
      <c r="Q122" s="60">
        <f>N122-826.2</f>
        <v>-300.58000000000015</v>
      </c>
      <c r="R122" s="138">
        <f>N122/826.2</f>
        <v>0.6361897845557974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1290.64</v>
      </c>
      <c r="G123" s="49">
        <f t="shared" si="37"/>
        <v>-519.76</v>
      </c>
      <c r="H123" s="40">
        <f t="shared" si="39"/>
        <v>71.29032258064515</v>
      </c>
      <c r="I123" s="60">
        <f t="shared" si="38"/>
        <v>-709.3599999999999</v>
      </c>
      <c r="J123" s="60">
        <f>F123/D123*100</f>
        <v>64.532</v>
      </c>
      <c r="K123" s="60">
        <f>F123-1731.9</f>
        <v>-441.26</v>
      </c>
      <c r="L123" s="138">
        <f>F123/1731.9</f>
        <v>0.7452162365032623</v>
      </c>
      <c r="M123" s="40">
        <f>E123-жовтень!E123</f>
        <v>189.59000000000015</v>
      </c>
      <c r="N123" s="40">
        <f>F123-жовтень!F123</f>
        <v>156.62000000000012</v>
      </c>
      <c r="O123" s="53">
        <f t="shared" si="41"/>
        <v>-32.97000000000003</v>
      </c>
      <c r="P123" s="60">
        <f t="shared" si="42"/>
        <v>82.60984229126008</v>
      </c>
      <c r="Q123" s="60">
        <f>N123-9.2</f>
        <v>147.42000000000013</v>
      </c>
      <c r="R123" s="138">
        <f>N123/9.2</f>
        <v>17.023913043478274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80510.34000000001</v>
      </c>
      <c r="G124" s="62">
        <f t="shared" si="37"/>
        <v>-13944.079999999987</v>
      </c>
      <c r="H124" s="72">
        <f t="shared" si="39"/>
        <v>85.23723929488955</v>
      </c>
      <c r="I124" s="61">
        <f t="shared" si="38"/>
        <v>-21559.979999999996</v>
      </c>
      <c r="J124" s="61">
        <f>F124/D124*100</f>
        <v>78.87732692520217</v>
      </c>
      <c r="K124" s="61">
        <f>F124-94046.5</f>
        <v>-13536.159999999989</v>
      </c>
      <c r="L124" s="139">
        <f>F124/94046.5</f>
        <v>0.8560694975357935</v>
      </c>
      <c r="M124" s="62">
        <f>M120+M121+M122+M123+M119</f>
        <v>11784.880000000008</v>
      </c>
      <c r="N124" s="62">
        <f>N120+N121+N122+N123+N119</f>
        <v>6565.150000000008</v>
      </c>
      <c r="O124" s="61">
        <f t="shared" si="41"/>
        <v>-5219.7300000000005</v>
      </c>
      <c r="P124" s="61">
        <f t="shared" si="42"/>
        <v>55.708246498903705</v>
      </c>
      <c r="Q124" s="61">
        <f>N124-9944.1</f>
        <v>-3378.9499999999925</v>
      </c>
      <c r="R124" s="139">
        <f>N124/9944.1</f>
        <v>0.6602055490190171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7396.47</v>
      </c>
      <c r="G128" s="49">
        <f aca="true" t="shared" si="43" ref="G128:G135">F128-E128</f>
        <v>-1302.5299999999997</v>
      </c>
      <c r="H128" s="40">
        <f>F128/E128*100</f>
        <v>85.02666973215312</v>
      </c>
      <c r="I128" s="60">
        <f aca="true" t="shared" si="44" ref="I128:I135">F128-D128</f>
        <v>-1303.5299999999997</v>
      </c>
      <c r="J128" s="60">
        <f>F128/D128*100</f>
        <v>85.01689655172414</v>
      </c>
      <c r="K128" s="60">
        <f>F128-10826.4</f>
        <v>-3429.9299999999994</v>
      </c>
      <c r="L128" s="138">
        <f>F128/10826.4</f>
        <v>0.6831883174462425</v>
      </c>
      <c r="M128" s="40">
        <f>E128-вересень!E128</f>
        <v>1980.5</v>
      </c>
      <c r="N128" s="40">
        <f>F128-вересень!F128</f>
        <v>27.590000000000146</v>
      </c>
      <c r="O128" s="53">
        <f aca="true" t="shared" si="45" ref="O128:O135">N128-M128</f>
        <v>-1952.9099999999999</v>
      </c>
      <c r="P128" s="60">
        <f>N128/M128*100</f>
        <v>1.3930825549103834</v>
      </c>
      <c r="Q128" s="60">
        <f>N128-2097.7</f>
        <v>-2070.1099999999997</v>
      </c>
      <c r="R128" s="162">
        <f>N128/2097.7</f>
        <v>0.013152500357534513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1.36</v>
      </c>
      <c r="G129" s="49">
        <f t="shared" si="43"/>
        <v>1.36</v>
      </c>
      <c r="H129" s="40"/>
      <c r="I129" s="60">
        <f t="shared" si="44"/>
        <v>1.36</v>
      </c>
      <c r="J129" s="60"/>
      <c r="K129" s="60">
        <f>F129-0.8</f>
        <v>0.56</v>
      </c>
      <c r="L129" s="138">
        <f>F129/0.8</f>
        <v>1.7</v>
      </c>
      <c r="M129" s="40">
        <f>E129-вересень!E129</f>
        <v>0</v>
      </c>
      <c r="N129" s="40">
        <f>F129-вересень!F129</f>
        <v>0.28</v>
      </c>
      <c r="O129" s="53">
        <f t="shared" si="45"/>
        <v>0.28</v>
      </c>
      <c r="P129" s="60"/>
      <c r="Q129" s="60">
        <f>N129-(-0.3)</f>
        <v>0.5800000000000001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7452.32</v>
      </c>
      <c r="G130" s="62">
        <f t="shared" si="43"/>
        <v>-1289.0400000000009</v>
      </c>
      <c r="H130" s="72">
        <f>F130/E130*100</f>
        <v>85.25355322283946</v>
      </c>
      <c r="I130" s="61">
        <f t="shared" si="44"/>
        <v>-1298.380000000001</v>
      </c>
      <c r="J130" s="61">
        <f>F130/D130*100</f>
        <v>85.16255842389751</v>
      </c>
      <c r="K130" s="61">
        <f>F130-10959.2</f>
        <v>-3506.880000000001</v>
      </c>
      <c r="L130" s="139">
        <f>G130/10959.2</f>
        <v>-0.11762172421344631</v>
      </c>
      <c r="M130" s="62">
        <f>M125+M128+M129+M127</f>
        <v>1988.5</v>
      </c>
      <c r="N130" s="62">
        <f>N125+N128+N129+N127</f>
        <v>38.71000000000014</v>
      </c>
      <c r="O130" s="61">
        <f t="shared" si="45"/>
        <v>-1949.79</v>
      </c>
      <c r="P130" s="61">
        <f>N130/M130*100</f>
        <v>1.9466934875534394</v>
      </c>
      <c r="Q130" s="61">
        <f>N130-2098.3</f>
        <v>-2059.59</v>
      </c>
      <c r="R130" s="137">
        <f>N130/2098.3</f>
        <v>0.018448267645236688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33.63</v>
      </c>
      <c r="G131" s="49">
        <f>F131-E131</f>
        <v>9.380000000000003</v>
      </c>
      <c r="H131" s="40">
        <f>F131/E131*100</f>
        <v>138.68041237113403</v>
      </c>
      <c r="I131" s="60">
        <f>F131-D131</f>
        <v>3.6300000000000026</v>
      </c>
      <c r="J131" s="60">
        <f>F131/D131*100</f>
        <v>112.1</v>
      </c>
      <c r="K131" s="60">
        <f>F131-28.2</f>
        <v>5.430000000000003</v>
      </c>
      <c r="L131" s="138">
        <f>F131/28.2</f>
        <v>1.192553191489362</v>
      </c>
      <c r="M131" s="40">
        <f>E131-вересень!E131</f>
        <v>0.8000000000000007</v>
      </c>
      <c r="N131" s="40">
        <f>F131-вересень!F131</f>
        <v>1.7700000000000031</v>
      </c>
      <c r="O131" s="53">
        <f>N131-M131</f>
        <v>0.9700000000000024</v>
      </c>
      <c r="P131" s="60">
        <f>N131/M131*100</f>
        <v>221.25000000000023</v>
      </c>
      <c r="Q131" s="60">
        <f>N131-0.2</f>
        <v>1.5700000000000032</v>
      </c>
      <c r="R131" s="138">
        <f>N131/0.2</f>
        <v>8.850000000000016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89655.11000000002</v>
      </c>
      <c r="G134" s="50">
        <f t="shared" si="43"/>
        <v>-17143.819999999978</v>
      </c>
      <c r="H134" s="51">
        <f>F134/E134*100</f>
        <v>83.94757325752235</v>
      </c>
      <c r="I134" s="36">
        <f t="shared" si="44"/>
        <v>-25135.509999999995</v>
      </c>
      <c r="J134" s="36">
        <f>F134/D134*100</f>
        <v>78.1031673145419</v>
      </c>
      <c r="K134" s="36">
        <f>F134-108511.5</f>
        <v>-18856.389999999985</v>
      </c>
      <c r="L134" s="136">
        <f>F134/108511.5</f>
        <v>0.8262268054538</v>
      </c>
      <c r="M134" s="31">
        <f>M117+M131+M124+M130+M133+M132</f>
        <v>14123.580000000009</v>
      </c>
      <c r="N134" s="31">
        <f>N117+N131+N124+N130+N133+N132</f>
        <v>6682.690000000008</v>
      </c>
      <c r="O134" s="36">
        <f t="shared" si="45"/>
        <v>-7440.890000000001</v>
      </c>
      <c r="P134" s="36">
        <f>N134/M134*100</f>
        <v>47.315836353105965</v>
      </c>
      <c r="Q134" s="36">
        <f>N134-12149.2</f>
        <v>-5466.509999999993</v>
      </c>
      <c r="R134" s="136">
        <f>N134/12149.2</f>
        <v>0.5500518552661909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502961.78</v>
      </c>
      <c r="G135" s="50">
        <f t="shared" si="43"/>
        <v>-50402.37999999989</v>
      </c>
      <c r="H135" s="51">
        <f>F135/E135*100</f>
        <v>90.8916435787963</v>
      </c>
      <c r="I135" s="36">
        <f t="shared" si="44"/>
        <v>-118708.43999999994</v>
      </c>
      <c r="J135" s="36">
        <f>F135/D135*100</f>
        <v>80.90491772309764</v>
      </c>
      <c r="K135" s="36">
        <f>F135-547461.7</f>
        <v>-44499.919999999925</v>
      </c>
      <c r="L135" s="136">
        <f>F135/547461.7</f>
        <v>0.9187159211320172</v>
      </c>
      <c r="M135" s="22">
        <f>M107+M134</f>
        <v>55961.47000000003</v>
      </c>
      <c r="N135" s="22">
        <f>N107+N134</f>
        <v>20419.120000000003</v>
      </c>
      <c r="O135" s="36">
        <f t="shared" si="45"/>
        <v>-35542.35000000003</v>
      </c>
      <c r="P135" s="36">
        <f>N135/M135*100</f>
        <v>36.48781920846609</v>
      </c>
      <c r="Q135" s="36">
        <f>N135-53205.8</f>
        <v>-32786.68</v>
      </c>
      <c r="R135" s="136">
        <f>N135/53205.8</f>
        <v>0.3837762048498472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12</v>
      </c>
      <c r="D137" s="4" t="s">
        <v>118</v>
      </c>
    </row>
    <row r="138" spans="2:17" ht="31.5">
      <c r="B138" s="78" t="s">
        <v>154</v>
      </c>
      <c r="C138" s="39">
        <f>IF(O107&lt;0,ABS(O107/C137),0)</f>
        <v>2341.7883333333357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41955</v>
      </c>
      <c r="D139" s="39">
        <v>1030.6</v>
      </c>
      <c r="N139" s="194"/>
      <c r="O139" s="194"/>
    </row>
    <row r="140" spans="3:15" ht="15.75">
      <c r="C140" s="120">
        <v>41954</v>
      </c>
      <c r="D140" s="39">
        <v>686.2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41953</v>
      </c>
      <c r="D141" s="39">
        <v>737.2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121048.71461</v>
      </c>
      <c r="E143" s="80"/>
      <c r="F143" s="100" t="s">
        <v>147</v>
      </c>
      <c r="G143" s="190" t="s">
        <v>149</v>
      </c>
      <c r="H143" s="190"/>
      <c r="I143" s="116">
        <v>112028.11808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21388.10411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21388.10411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2014-11-13T12:29:08Z</cp:lastPrinted>
  <dcterms:created xsi:type="dcterms:W3CDTF">2003-07-28T11:27:56Z</dcterms:created>
  <dcterms:modified xsi:type="dcterms:W3CDTF">2014-11-13T12:41:02Z</dcterms:modified>
  <cp:category/>
  <cp:version/>
  <cp:contentType/>
  <cp:contentStatus/>
</cp:coreProperties>
</file>